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Assumptions" sheetId="1" r:id="rId1"/>
    <sheet name="Parameters" sheetId="2" r:id="rId2"/>
    <sheet name="Baseline Budget" sheetId="3" r:id="rId3"/>
  </sheets>
  <calcPr calcId="144525"/>
</workbook>
</file>

<file path=xl/sharedStrings.xml><?xml version="1.0" encoding="utf-8"?>
<sst xmlns="http://schemas.openxmlformats.org/spreadsheetml/2006/main" count="158" uniqueCount="120">
  <si>
    <t>Assumptions</t>
  </si>
  <si>
    <t>1. The Thomasville Museum of Contemporary Arts(TMCA) is open the same number of days in each month.</t>
  </si>
  <si>
    <t>2. The admission fee do not vary based on the length of the visit.</t>
  </si>
  <si>
    <t>3. TMCA covers the cost of the trainning sessions, but tour guides are not paid during the training period.</t>
  </si>
  <si>
    <t>4. No turnover of tour guides in the first year.</t>
  </si>
  <si>
    <t>5. Lunch is included in each tour guide's shift and additional coverage is not needed for lunch coverage.</t>
  </si>
  <si>
    <t>6. Tour guides cannot work more than 22 days in a month.</t>
  </si>
  <si>
    <t>7. Tour guides are eligible to take vacation immediately upon hiring out only with permission of Ms.Arwood.</t>
  </si>
  <si>
    <t>8. Vocational times has to be covered by full-time, trianned tour guides.</t>
  </si>
  <si>
    <t>9. Ms.Arwood will schedule vacation to minimize the additional staff she needs to hire.</t>
  </si>
  <si>
    <t>10. Security coverage is required for the full 8 hours the museum is in operation(11:00am-7:00pm). The objective is to hire security guards to minimize saffing cost.</t>
  </si>
  <si>
    <t>11. Thomasville donates the space and utiities for the museum. Mayor Hobbs says that this contribution is worth $8000 a month.</t>
  </si>
  <si>
    <t>12. The museum will not be responsible for health care, pension, or the social secuity, unemployment and disability benefits contributions for these employees.</t>
  </si>
  <si>
    <t>13. Rotating exhibits cost the museum $225,000 per month, starting in April.</t>
  </si>
  <si>
    <t>14. The grant mandates that the funds must be returned if the museum does not maintain at least 1 tour guide for every 100 addmitted vistors.</t>
  </si>
  <si>
    <t xml:space="preserve">15. The number of required tour guides and required secruity guard will be roundup if its not an integer.
</t>
  </si>
  <si>
    <t>16. Redesign building cost and federal grant will be divided evenly by month.</t>
  </si>
  <si>
    <t>17. Superintendent Gentry will not provide a subsidy for teachers, who are charged for the regular adult rate and are included in the adult visitor estimates each month.</t>
  </si>
  <si>
    <t>18. The grant mandates that the funds must be returned if the museum does not maintain at least 1 tour guide for every 100 admitted visitors.</t>
  </si>
  <si>
    <t>Contemporary Art Museum in Thomasville</t>
  </si>
  <si>
    <t>Parameters</t>
  </si>
  <si>
    <t>Operational Information</t>
  </si>
  <si>
    <t>Operational days per month</t>
  </si>
  <si>
    <t>Operational hours per day</t>
  </si>
  <si>
    <t>Operational months per year</t>
  </si>
  <si>
    <t>Visitors in Jan.</t>
  </si>
  <si>
    <t>visitors per day</t>
  </si>
  <si>
    <t xml:space="preserve">   Adults</t>
  </si>
  <si>
    <t>individuals</t>
  </si>
  <si>
    <t xml:space="preserve">   Children</t>
  </si>
  <si>
    <t xml:space="preserve">      Field Trip Child(Percent of all child visitors)</t>
  </si>
  <si>
    <t>per month</t>
  </si>
  <si>
    <t>Admission increase rate:</t>
  </si>
  <si>
    <t xml:space="preserve">      Feb-May</t>
  </si>
  <si>
    <t>each month</t>
  </si>
  <si>
    <t xml:space="preserve">      June-Dec</t>
  </si>
  <si>
    <t>Visitors in May.(child)</t>
  </si>
  <si>
    <t>Revenues</t>
  </si>
  <si>
    <t>Admission Fee(perday, per visit)</t>
  </si>
  <si>
    <t xml:space="preserve">   Adult</t>
  </si>
  <si>
    <t>per day per visit</t>
  </si>
  <si>
    <t xml:space="preserve">   Child</t>
  </si>
  <si>
    <t>Donations from city schools</t>
  </si>
  <si>
    <t>per child on school feld trips</t>
  </si>
  <si>
    <t>Donations form Thomasville</t>
  </si>
  <si>
    <t>Federal grants</t>
  </si>
  <si>
    <t>Expenditures</t>
  </si>
  <si>
    <t>Personnel</t>
  </si>
  <si>
    <t>Work days per month</t>
  </si>
  <si>
    <t>Vocational days per year</t>
  </si>
  <si>
    <t>Trainning session days</t>
  </si>
  <si>
    <t>Length of shifts(hours)</t>
  </si>
  <si>
    <t>Lead curator's salary</t>
  </si>
  <si>
    <t xml:space="preserve">Director's salary </t>
  </si>
  <si>
    <t xml:space="preserve">Tour guide's salary </t>
  </si>
  <si>
    <t xml:space="preserve"> per hour</t>
  </si>
  <si>
    <t xml:space="preserve">Secuity guard(part-time)'s salary </t>
  </si>
  <si>
    <t>per hour</t>
  </si>
  <si>
    <t>Fringe benefits:</t>
  </si>
  <si>
    <t xml:space="preserve">   Social security</t>
  </si>
  <si>
    <t xml:space="preserve">   Unemployment and disability benefits</t>
  </si>
  <si>
    <t xml:space="preserve">   Pension</t>
  </si>
  <si>
    <t xml:space="preserve">   Health benefits</t>
  </si>
  <si>
    <t>Visitor/tour guide ratio</t>
  </si>
  <si>
    <t>Visitor/secuity guard ratio</t>
  </si>
  <si>
    <t>Non-Personnel</t>
  </si>
  <si>
    <t>Redesigning building into a museum</t>
  </si>
  <si>
    <t>Trainning session cost</t>
  </si>
  <si>
    <t>per employee</t>
  </si>
  <si>
    <t>Supplies cost</t>
  </si>
  <si>
    <t>per guest per day</t>
  </si>
  <si>
    <t>Core exhibits and installations</t>
  </si>
  <si>
    <t>in Jan</t>
  </si>
  <si>
    <t>Rotating exhibits</t>
  </si>
  <si>
    <t>per month, starting in April</t>
  </si>
  <si>
    <t>Number of visitors per month</t>
  </si>
  <si>
    <t>January</t>
  </si>
  <si>
    <t>Feburary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</si>
  <si>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</si>
  <si>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</si>
  <si>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</si>
  <si>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</si>
  <si>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</si>
  <si>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</si>
  <si>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</si>
  <si>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</si>
  <si>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</si>
  <si>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</si>
  <si>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Visitors: </t>
  </si>
  <si>
    <t>Baseline Budget 2021(By Month)</t>
  </si>
  <si>
    <t xml:space="preserve">Total </t>
  </si>
  <si>
    <t>Admission Fees</t>
  </si>
  <si>
    <t>Total revenues</t>
  </si>
  <si>
    <t>Basic Information</t>
  </si>
  <si>
    <t>Workload:</t>
  </si>
  <si>
    <t xml:space="preserve">   Tour guides</t>
  </si>
  <si>
    <t xml:space="preserve">   Security guards</t>
  </si>
  <si>
    <t>Required staff hours:</t>
  </si>
  <si>
    <t>Required Tour Guides</t>
  </si>
  <si>
    <t xml:space="preserve">   Round up</t>
  </si>
  <si>
    <t>Required Security Guards</t>
  </si>
  <si>
    <t xml:space="preserve">Salary </t>
  </si>
  <si>
    <t>Lead curator</t>
  </si>
  <si>
    <t>Director</t>
  </si>
  <si>
    <t>Tour guide</t>
  </si>
  <si>
    <t>Secuity guard</t>
  </si>
  <si>
    <t>Total salary costs</t>
  </si>
  <si>
    <t>Fringe benefits</t>
  </si>
  <si>
    <t>Social security</t>
  </si>
  <si>
    <t>Unemployment and disability benefits</t>
  </si>
  <si>
    <t>Pension</t>
  </si>
  <si>
    <t>Health benefits</t>
  </si>
  <si>
    <t>Total benefit costs</t>
  </si>
  <si>
    <t>Total personnel expenditures</t>
  </si>
  <si>
    <t>Non-personnel Cost</t>
  </si>
  <si>
    <t>Trainning session</t>
  </si>
  <si>
    <t>Total non-personnel expenditures</t>
  </si>
  <si>
    <t>Total Expenditures</t>
  </si>
  <si>
    <t>Total Surplus(deficit)</t>
  </si>
  <si>
    <t>Balanced index(&lt;1%)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</si>
</sst>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26" formatCode="\$#,##0.00_);[Red]\(\$#,##0.00\)"/>
    <numFmt numFmtId="178" formatCode="0.00_);[Red]\(0.00\)"/>
    <numFmt numFmtId="24" formatCode="\$#,##0_);[Red]\(\$#,##0\)"/>
  </numFmts>
  <fonts count="32">
    <font>
      <sz val="11"/>
      <color theme="1"/>
      <name val="宋体"/>
      <charset val="134"/>
      <scheme val="minor"/>
    </font>
    <font>
      <sz val="24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rgb="FF000000"/>
      <name val="Times New Roman"/>
      <charset val="0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i/>
      <sz val="12"/>
      <color rgb="FF000000"/>
      <name val="Times New Roman"/>
      <charset val="134"/>
    </font>
    <font>
      <sz val="22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8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4" borderId="3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26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26" fontId="4" fillId="0" borderId="1" xfId="0" applyNumberFormat="1" applyFont="1" applyBorder="1" applyAlignment="1"/>
    <xf numFmtId="178" fontId="3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10" fontId="3" fillId="3" borderId="1" xfId="0" applyNumberFormat="1" applyFont="1" applyFill="1" applyBorder="1">
      <alignment vertical="center"/>
    </xf>
    <xf numFmtId="176" fontId="4" fillId="0" borderId="1" xfId="0" applyNumberFormat="1" applyFont="1" applyBorder="1" applyAlignment="1"/>
    <xf numFmtId="176" fontId="3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/>
    </xf>
    <xf numFmtId="24" fontId="3" fillId="0" borderId="1" xfId="0" applyNumberFormat="1" applyFont="1" applyBorder="1" applyAlignment="1">
      <alignment horizontal="right" vertical="center"/>
    </xf>
    <xf numFmtId="26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A19" sqref="A19:N19"/>
    </sheetView>
  </sheetViews>
  <sheetFormatPr defaultColWidth="9" defaultRowHeight="13.5"/>
  <sheetData>
    <row r="1" ht="35.25" spans="1:1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15.75" spans="1:14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5.75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5.75" spans="1:14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.75" spans="1:14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5.75" spans="1:14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5.75" spans="1:14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15.75" spans="1:14">
      <c r="A8" s="6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15.75" spans="1:14">
      <c r="A9" s="6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5.75" spans="1:14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15.75" spans="1:14">
      <c r="A11" s="6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5.75" spans="1:14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5.75" spans="1:14">
      <c r="A13" s="6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5.75" spans="1:14">
      <c r="A14" s="6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15.75" spans="1:14">
      <c r="A15" s="6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ht="15.75" spans="1:14">
      <c r="A16" s="5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5.75" spans="1:14">
      <c r="A17" s="6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ht="15.75" spans="1:14">
      <c r="A18" s="6" t="s">
        <v>17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ht="15.75" spans="1:14">
      <c r="A19" s="61" t="s">
        <v>18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</sheetData>
  <mergeCells count="19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A17:N17"/>
    <mergeCell ref="A18:N18"/>
    <mergeCell ref="A19:N1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31" workbookViewId="0">
      <selection activeCell="B50" sqref="B50"/>
    </sheetView>
  </sheetViews>
  <sheetFormatPr defaultColWidth="9" defaultRowHeight="13.5"/>
  <cols>
    <col min="1" max="1" width="39.625" style="33" customWidth="1"/>
    <col min="2" max="2" width="12.625" style="34" customWidth="1"/>
    <col min="3" max="3" width="13.375" style="35" customWidth="1"/>
    <col min="4" max="9" width="9.375" customWidth="1"/>
    <col min="10" max="10" width="10.375" customWidth="1"/>
    <col min="11" max="11" width="9.375" customWidth="1"/>
    <col min="12" max="12" width="10.125" customWidth="1"/>
    <col min="13" max="13" width="10" customWidth="1"/>
  </cols>
  <sheetData>
    <row r="1" ht="27.75" spans="1:5">
      <c r="A1" s="36" t="s">
        <v>19</v>
      </c>
      <c r="B1" s="36"/>
      <c r="C1" s="36"/>
      <c r="D1" s="37"/>
      <c r="E1" s="37"/>
    </row>
    <row r="2" ht="26.25" spans="1:4">
      <c r="A2" s="38" t="s">
        <v>20</v>
      </c>
      <c r="B2" s="39"/>
      <c r="C2" s="40"/>
      <c r="D2" s="41"/>
    </row>
    <row r="3" ht="15" spans="1:4">
      <c r="A3" s="42"/>
      <c r="B3" s="39"/>
      <c r="C3" s="40"/>
      <c r="D3" s="41"/>
    </row>
    <row r="4" ht="18.75" spans="1:4">
      <c r="A4" s="43" t="s">
        <v>21</v>
      </c>
      <c r="B4" s="44"/>
      <c r="C4" s="45"/>
      <c r="D4" s="31"/>
    </row>
    <row r="5" ht="15.75" spans="1:4">
      <c r="A5" s="46" t="s">
        <v>22</v>
      </c>
      <c r="B5" s="47">
        <v>25</v>
      </c>
      <c r="C5" s="48"/>
      <c r="D5" s="31"/>
    </row>
    <row r="6" ht="15.75" spans="1:4">
      <c r="A6" s="46" t="s">
        <v>23</v>
      </c>
      <c r="B6" s="47">
        <v>8</v>
      </c>
      <c r="C6" s="48"/>
      <c r="D6" s="31"/>
    </row>
    <row r="7" ht="15.75" spans="1:4">
      <c r="A7" s="46" t="s">
        <v>24</v>
      </c>
      <c r="B7" s="47">
        <v>12</v>
      </c>
      <c r="C7" s="48"/>
      <c r="D7" s="31"/>
    </row>
    <row r="8" ht="15.75" spans="1:4">
      <c r="A8" s="46" t="s">
        <v>25</v>
      </c>
      <c r="B8" s="47">
        <v>1250</v>
      </c>
      <c r="C8" s="48" t="s">
        <v>26</v>
      </c>
      <c r="D8" s="31"/>
    </row>
    <row r="9" ht="15.75" spans="1:4">
      <c r="A9" s="46" t="s">
        <v>27</v>
      </c>
      <c r="B9" s="47">
        <v>1000</v>
      </c>
      <c r="C9" s="48" t="s">
        <v>28</v>
      </c>
      <c r="D9" s="31"/>
    </row>
    <row r="10" ht="15.75" spans="1:4">
      <c r="A10" s="46" t="s">
        <v>29</v>
      </c>
      <c r="B10" s="47">
        <v>250</v>
      </c>
      <c r="C10" s="48" t="s">
        <v>28</v>
      </c>
      <c r="D10" s="31"/>
    </row>
    <row r="11" ht="15.75" spans="1:4">
      <c r="A11" s="46" t="s">
        <v>30</v>
      </c>
      <c r="B11" s="49">
        <v>0.4</v>
      </c>
      <c r="C11" s="48" t="s">
        <v>31</v>
      </c>
      <c r="D11" s="31"/>
    </row>
    <row r="12" ht="15.75" spans="1:4">
      <c r="A12" s="46" t="s">
        <v>32</v>
      </c>
      <c r="B12" s="47"/>
      <c r="C12" s="48"/>
      <c r="D12" s="31"/>
    </row>
    <row r="13" ht="15.75" spans="1:4">
      <c r="A13" s="46" t="s">
        <v>27</v>
      </c>
      <c r="B13" s="47"/>
      <c r="C13" s="48"/>
      <c r="D13" s="31"/>
    </row>
    <row r="14" ht="15.75" spans="1:4">
      <c r="A14" s="46" t="s">
        <v>33</v>
      </c>
      <c r="B14" s="49">
        <v>0.02</v>
      </c>
      <c r="C14" s="48" t="s">
        <v>34</v>
      </c>
      <c r="D14" s="31"/>
    </row>
    <row r="15" ht="15.75" spans="1:4">
      <c r="A15" s="46" t="s">
        <v>35</v>
      </c>
      <c r="B15" s="49">
        <v>0.02</v>
      </c>
      <c r="C15" s="48" t="s">
        <v>34</v>
      </c>
      <c r="D15" s="31"/>
    </row>
    <row r="16" ht="15.75" spans="1:4">
      <c r="A16" s="46" t="s">
        <v>29</v>
      </c>
      <c r="B16" s="47"/>
      <c r="C16" s="48"/>
      <c r="D16" s="31"/>
    </row>
    <row r="17" ht="15.75" spans="1:4">
      <c r="A17" s="46" t="s">
        <v>33</v>
      </c>
      <c r="B17" s="49">
        <v>0.05</v>
      </c>
      <c r="C17" s="48" t="s">
        <v>34</v>
      </c>
      <c r="D17" s="31"/>
    </row>
    <row r="18" ht="15.75" spans="1:4">
      <c r="A18" s="46" t="s">
        <v>35</v>
      </c>
      <c r="B18" s="49">
        <v>0.02</v>
      </c>
      <c r="C18" s="48" t="s">
        <v>34</v>
      </c>
      <c r="D18" s="31"/>
    </row>
    <row r="19" ht="15.75" spans="1:4">
      <c r="A19" s="46" t="s">
        <v>36</v>
      </c>
      <c r="B19" s="47">
        <f>Parameters!B10*POWER(1+Parameters!B17,4)</f>
        <v>303.8765625</v>
      </c>
      <c r="C19" s="48"/>
      <c r="D19" s="31"/>
    </row>
    <row r="20" ht="18.75" spans="1:3">
      <c r="A20" s="43" t="s">
        <v>37</v>
      </c>
      <c r="B20" s="44"/>
      <c r="C20" s="45"/>
    </row>
    <row r="21" ht="15.75" spans="1:3">
      <c r="A21" s="24" t="s">
        <v>38</v>
      </c>
      <c r="B21" s="47"/>
      <c r="C21" s="48"/>
    </row>
    <row r="22" ht="15.75" spans="1:3">
      <c r="A22" s="24" t="s">
        <v>39</v>
      </c>
      <c r="B22" s="50">
        <v>10</v>
      </c>
      <c r="C22" s="48" t="s">
        <v>40</v>
      </c>
    </row>
    <row r="23" ht="15.75" spans="1:3">
      <c r="A23" s="24" t="s">
        <v>41</v>
      </c>
      <c r="B23" s="50">
        <v>7</v>
      </c>
      <c r="C23" s="48" t="s">
        <v>40</v>
      </c>
    </row>
    <row r="24" ht="31.5" spans="1:3">
      <c r="A24" s="24" t="s">
        <v>42</v>
      </c>
      <c r="B24" s="51">
        <v>1.25</v>
      </c>
      <c r="C24" s="48" t="s">
        <v>43</v>
      </c>
    </row>
    <row r="25" ht="15.75" spans="1:3">
      <c r="A25" s="24" t="s">
        <v>44</v>
      </c>
      <c r="B25" s="51">
        <v>8000</v>
      </c>
      <c r="C25" s="48" t="s">
        <v>31</v>
      </c>
    </row>
    <row r="26" ht="15.75" spans="1:3">
      <c r="A26" s="24" t="s">
        <v>45</v>
      </c>
      <c r="B26" s="50">
        <v>120000</v>
      </c>
      <c r="C26" s="48"/>
    </row>
    <row r="27" ht="15.75" spans="1:3">
      <c r="A27" s="24"/>
      <c r="B27" s="47"/>
      <c r="C27" s="48"/>
    </row>
    <row r="28" ht="18.75" spans="1:3">
      <c r="A28" s="43" t="s">
        <v>46</v>
      </c>
      <c r="B28" s="44"/>
      <c r="C28" s="45"/>
    </row>
    <row r="29" ht="15.75" spans="1:3">
      <c r="A29" s="14" t="s">
        <v>47</v>
      </c>
      <c r="B29" s="47"/>
      <c r="C29" s="48"/>
    </row>
    <row r="30" customFormat="1" ht="15.75" spans="1:3">
      <c r="A30" s="24" t="s">
        <v>48</v>
      </c>
      <c r="B30" s="47">
        <v>22</v>
      </c>
      <c r="C30" s="48"/>
    </row>
    <row r="31" customFormat="1" ht="15.75" spans="1:3">
      <c r="A31" s="24" t="s">
        <v>49</v>
      </c>
      <c r="B31" s="47">
        <v>15</v>
      </c>
      <c r="C31" s="48"/>
    </row>
    <row r="32" customFormat="1" ht="15.75" spans="1:3">
      <c r="A32" s="24" t="s">
        <v>50</v>
      </c>
      <c r="B32" s="47">
        <v>2</v>
      </c>
      <c r="C32" s="48"/>
    </row>
    <row r="33" customFormat="1" ht="15.75" spans="1:3">
      <c r="A33" s="24" t="s">
        <v>51</v>
      </c>
      <c r="B33" s="47">
        <v>8</v>
      </c>
      <c r="C33" s="48"/>
    </row>
    <row r="34" ht="15.75" spans="1:3">
      <c r="A34" s="14"/>
      <c r="B34" s="47"/>
      <c r="C34" s="48"/>
    </row>
    <row r="35" ht="15.75" spans="1:3">
      <c r="A35" s="24" t="s">
        <v>52</v>
      </c>
      <c r="B35" s="50">
        <v>6500</v>
      </c>
      <c r="C35" s="48" t="s">
        <v>31</v>
      </c>
    </row>
    <row r="36" ht="15.75" spans="1:3">
      <c r="A36" s="24" t="s">
        <v>53</v>
      </c>
      <c r="B36" s="50">
        <v>8000</v>
      </c>
      <c r="C36" s="48" t="s">
        <v>31</v>
      </c>
    </row>
    <row r="37" ht="15.75" spans="1:3">
      <c r="A37" s="24" t="s">
        <v>54</v>
      </c>
      <c r="B37" s="50">
        <v>25</v>
      </c>
      <c r="C37" s="48" t="s">
        <v>55</v>
      </c>
    </row>
    <row r="38" ht="15.75" spans="1:3">
      <c r="A38" s="24" t="s">
        <v>56</v>
      </c>
      <c r="B38" s="50">
        <v>16</v>
      </c>
      <c r="C38" s="48" t="s">
        <v>57</v>
      </c>
    </row>
    <row r="39" ht="15.75" spans="1:3">
      <c r="A39" s="24"/>
      <c r="B39" s="50"/>
      <c r="C39" s="48"/>
    </row>
    <row r="40" ht="15.75" spans="1:3">
      <c r="A40" s="24" t="s">
        <v>58</v>
      </c>
      <c r="B40" s="50"/>
      <c r="C40" s="48"/>
    </row>
    <row r="41" ht="15.75" spans="1:3">
      <c r="A41" s="24" t="s">
        <v>59</v>
      </c>
      <c r="B41" s="52">
        <v>0.0765</v>
      </c>
      <c r="C41" s="48"/>
    </row>
    <row r="42" ht="15.75" spans="1:3">
      <c r="A42" s="24" t="s">
        <v>60</v>
      </c>
      <c r="B42" s="52">
        <v>0.08</v>
      </c>
      <c r="C42" s="48"/>
    </row>
    <row r="43" ht="15.75" spans="1:3">
      <c r="A43" s="24" t="s">
        <v>61</v>
      </c>
      <c r="B43" s="49">
        <v>0.06</v>
      </c>
      <c r="C43" s="48"/>
    </row>
    <row r="44" ht="15.75" spans="1:3">
      <c r="A44" s="24" t="s">
        <v>62</v>
      </c>
      <c r="B44" s="50">
        <v>450</v>
      </c>
      <c r="C44" s="48" t="s">
        <v>31</v>
      </c>
    </row>
    <row r="45" ht="15.75" spans="1:3">
      <c r="A45" s="24"/>
      <c r="B45" s="50"/>
      <c r="C45" s="48"/>
    </row>
    <row r="46" ht="15.75" spans="1:3">
      <c r="A46" s="24" t="s">
        <v>63</v>
      </c>
      <c r="B46" s="53">
        <v>60</v>
      </c>
      <c r="C46" s="48"/>
    </row>
    <row r="47" ht="15.75" spans="1:3">
      <c r="A47" s="24" t="s">
        <v>64</v>
      </c>
      <c r="B47" s="53">
        <v>100</v>
      </c>
      <c r="C47" s="48"/>
    </row>
    <row r="48" ht="15.75" spans="1:3">
      <c r="A48" s="14" t="s">
        <v>65</v>
      </c>
      <c r="B48" s="47"/>
      <c r="C48" s="48"/>
    </row>
    <row r="49" ht="15.75" spans="1:3">
      <c r="A49" s="24" t="s">
        <v>66</v>
      </c>
      <c r="B49" s="50">
        <v>650000</v>
      </c>
      <c r="C49" s="48"/>
    </row>
    <row r="50" ht="15.75" spans="1:3">
      <c r="A50" s="24" t="s">
        <v>67</v>
      </c>
      <c r="B50" s="50">
        <v>300</v>
      </c>
      <c r="C50" s="48" t="s">
        <v>68</v>
      </c>
    </row>
    <row r="51" ht="31.5" spans="1:3">
      <c r="A51" s="24" t="s">
        <v>69</v>
      </c>
      <c r="B51" s="50">
        <v>1</v>
      </c>
      <c r="C51" s="48" t="s">
        <v>70</v>
      </c>
    </row>
    <row r="52" ht="15.75" spans="1:3">
      <c r="A52" s="24" t="s">
        <v>71</v>
      </c>
      <c r="B52" s="50">
        <v>250000</v>
      </c>
      <c r="C52" s="48" t="s">
        <v>72</v>
      </c>
    </row>
    <row r="53" ht="31.5" spans="1:3">
      <c r="A53" s="24" t="s">
        <v>73</v>
      </c>
      <c r="B53" s="50">
        <v>225000</v>
      </c>
      <c r="C53" s="48" t="s">
        <v>74</v>
      </c>
    </row>
    <row r="57" ht="39" customHeight="1" spans="1:1">
      <c r="A57" s="54" t="s">
        <v>75</v>
      </c>
    </row>
    <row r="58" s="31" customFormat="1" ht="15.75" spans="1:13">
      <c r="A58" s="14"/>
      <c r="B58" s="16" t="s">
        <v>76</v>
      </c>
      <c r="C58" s="55" t="s">
        <v>77</v>
      </c>
      <c r="D58" s="56" t="s">
        <v>78</v>
      </c>
      <c r="E58" s="56" t="s">
        <v>79</v>
      </c>
      <c r="F58" s="56" t="s">
        <v>80</v>
      </c>
      <c r="G58" s="56" t="s">
        <v>81</v>
      </c>
      <c r="H58" s="56" t="s">
        <v>82</v>
      </c>
      <c r="I58" s="56" t="s">
        <v>83</v>
      </c>
      <c r="J58" s="56" t="s">
        <v>84</v>
      </c>
      <c r="K58" s="56" t="s">
        <v>85</v>
      </c>
      <c r="L58" s="56" t="s">
        <v>86</v>
      </c>
      <c r="M58" s="56" t="s">
        <v>87</v>
      </c>
    </row>
    <row r="59" s="32" customFormat="1" ht="15.75" spans="1:13">
      <c r="A59" s="57" t="s">
        <v>88</v>
      </c>
      <c r="B59" s="53">
        <f>B8</f>
        <v>1250</v>
      </c>
      <c r="C59" s="58">
        <f>Parameters!B9*(1+Parameters!B14)+Parameters!B10*(1+Parameters!B17)</f>
        <v>1282.5</v>
      </c>
      <c r="D59" s="30">
        <f>Parameters!B9*POWER(1+Parameters!B14,2)+Parameters!B10*POWER(1+Parameters!B17,2)</f>
        <v>1316.025</v>
      </c>
      <c r="E59" s="30">
        <f>Parameters!B9*POWER(1+Parameters!B14,3)+Parameters!B10*POWER(1+Parameters!B17,3)</f>
        <v>1350.61425</v>
      </c>
      <c r="F59" s="30">
        <f>Parameters!B9*POWER(1+Parameters!B14,4)+Parameters!B10*POWER(1+Parameters!B17,4)</f>
        <v>1386.3087225</v>
      </c>
      <c r="G59" s="30">
        <f>Parameters!B9*POWER(1+Parameters!B15,5)+Parameters!B19*POWER(1+Parameters!B18,1)</f>
        <v>1414.03489695</v>
      </c>
      <c r="H59" s="30">
        <f>Parameters!B9*POWER(1+Parameters!B15,6)+Parameters!B19*POWER(1+Parameters!B18,2)</f>
        <v>1442.315594889</v>
      </c>
      <c r="I59" s="30">
        <f>Parameters!B9*POWER(1+Parameters!B15,7)+Parameters!B19*POWER(1+Parameters!B18,3)</f>
        <v>1471.16190678678</v>
      </c>
      <c r="J59" s="30">
        <f>Parameters!B9*POWER(1+Parameters!B15,8)+Parameters!B19*POWER(1+Parameters!B18,4)</f>
        <v>1500.58514492252</v>
      </c>
      <c r="K59" s="30">
        <f>Parameters!B9*POWER(1+Parameters!B15,9)+Parameters!B19*POWER(1+Parameters!B18,5)</f>
        <v>1530.59684782097</v>
      </c>
      <c r="L59" s="30">
        <f>Parameters!B9*POWER(1+Parameters!B15,10)+Parameters!B19*POWER(1+Parameters!B18,6)</f>
        <v>1561.20878477739</v>
      </c>
      <c r="M59" s="30">
        <f>Parameters!B9*POWER(1+Parameters!B15,11)+Parameters!B19*POWER(1+Parameters!B18,7)</f>
        <v>1592.43296047293</v>
      </c>
    </row>
    <row r="60" s="32" customFormat="1" ht="15.75" spans="1:13">
      <c r="A60" s="57" t="s">
        <v>39</v>
      </c>
      <c r="B60" s="53">
        <f>B9</f>
        <v>1000</v>
      </c>
      <c r="C60" s="58">
        <f>Parameters!B9*(1+Parameters!B14)</f>
        <v>1020</v>
      </c>
      <c r="D60" s="30">
        <f>Parameters!B9*POWER(1+Parameters!B14,2)</f>
        <v>1040.4</v>
      </c>
      <c r="E60" s="30">
        <f>Parameters!B9*POWER(1+Parameters!B14,3)</f>
        <v>1061.208</v>
      </c>
      <c r="F60" s="30">
        <f>Parameters!B9*POWER(1+Parameters!B14,4)</f>
        <v>1082.43216</v>
      </c>
      <c r="G60" s="30">
        <f>Parameters!B9*POWER(1+Parameters!B15,5)</f>
        <v>1104.0808032</v>
      </c>
      <c r="H60" s="30">
        <f>Parameters!B9*POWER(1+Parameters!B15,6)</f>
        <v>1126.162419264</v>
      </c>
      <c r="I60" s="30">
        <f>Parameters!B9*POWER(1+Parameters!B15,7)</f>
        <v>1148.68566764928</v>
      </c>
      <c r="J60" s="30">
        <f>Parameters!B9*POWER(1+Parameters!B15,8)</f>
        <v>1171.65938100227</v>
      </c>
      <c r="K60" s="30">
        <f>Parameters!B9*POWER(1+Parameters!B15,9)</f>
        <v>1195.09256862231</v>
      </c>
      <c r="L60" s="30">
        <f>Parameters!B9*POWER(1+Parameters!B15,10)</f>
        <v>1218.99441999476</v>
      </c>
      <c r="M60" s="30">
        <f>Parameters!B9*POWER(1+Parameters!B15,11)</f>
        <v>1243.37430839465</v>
      </c>
    </row>
    <row r="61" s="32" customFormat="1" ht="15.75" spans="1:13">
      <c r="A61" s="57" t="s">
        <v>41</v>
      </c>
      <c r="B61" s="53">
        <f>B10</f>
        <v>250</v>
      </c>
      <c r="C61" s="58">
        <f>Parameters!B10*(1+Parameters!B17)</f>
        <v>262.5</v>
      </c>
      <c r="D61" s="30">
        <f>Parameters!B10*POWER(1+Parameters!B17,2)</f>
        <v>275.625</v>
      </c>
      <c r="E61" s="30">
        <f>Parameters!B10*POWER(1+Parameters!B17,3)</f>
        <v>289.40625</v>
      </c>
      <c r="F61" s="30">
        <f>Parameters!B10*POWER(1+Parameters!B17,4)</f>
        <v>303.8765625</v>
      </c>
      <c r="G61" s="30">
        <f>Parameters!B19*POWER(1+Parameters!B18,1)</f>
        <v>309.95409375</v>
      </c>
      <c r="H61" s="30">
        <f>Parameters!B19*POWER(1+Parameters!B18,2)</f>
        <v>316.153175625</v>
      </c>
      <c r="I61" s="30">
        <f>Parameters!B19*POWER(1+Parameters!B18,3)</f>
        <v>322.4762391375</v>
      </c>
      <c r="J61" s="30">
        <f>Parameters!B19*POWER(1+Parameters!B18,4)</f>
        <v>328.92576392025</v>
      </c>
      <c r="K61" s="30">
        <f>Parameters!B19*POWER(1+Parameters!B18,5)</f>
        <v>335.504279198655</v>
      </c>
      <c r="L61" s="30">
        <f>Parameters!B19*POWER(1+Parameters!B18,6)</f>
        <v>342.214364782628</v>
      </c>
      <c r="M61" s="30">
        <f>Parameters!B19*POWER(1+Parameters!B18,7)</f>
        <v>349.058652078281</v>
      </c>
    </row>
  </sheetData>
  <mergeCells count="7">
    <mergeCell ref="A1:C1"/>
    <mergeCell ref="A2:C2"/>
    <mergeCell ref="A4:C4"/>
    <mergeCell ref="A20:C20"/>
    <mergeCell ref="A28:C28"/>
    <mergeCell ref="A29:C29"/>
    <mergeCell ref="A48:C4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D16" workbookViewId="0">
      <selection activeCell="O36" sqref="O36"/>
    </sheetView>
  </sheetViews>
  <sheetFormatPr defaultColWidth="9" defaultRowHeight="15.75"/>
  <cols>
    <col min="1" max="1" width="17.625" style="5" customWidth="1"/>
    <col min="2" max="2" width="30.375" style="6" customWidth="1"/>
    <col min="3" max="3" width="14.875" style="7" customWidth="1"/>
    <col min="4" max="5" width="13.75" style="7" customWidth="1"/>
    <col min="6" max="14" width="14.875" style="7" customWidth="1"/>
    <col min="15" max="15" width="17.125" style="7" customWidth="1"/>
    <col min="16" max="16384" width="9" style="6"/>
  </cols>
  <sheetData>
    <row r="1" s="1" customFormat="1" ht="30.75" spans="1: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7.75" spans="1:15">
      <c r="A2" s="11" t="s">
        <v>89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3" customFormat="1" spans="1:15">
      <c r="A3" s="14"/>
      <c r="B3" s="15"/>
      <c r="C3" s="16" t="s">
        <v>76</v>
      </c>
      <c r="D3" s="16" t="s">
        <v>77</v>
      </c>
      <c r="E3" s="16" t="s">
        <v>78</v>
      </c>
      <c r="F3" s="16" t="s">
        <v>79</v>
      </c>
      <c r="G3" s="16" t="s">
        <v>80</v>
      </c>
      <c r="H3" s="16" t="s">
        <v>81</v>
      </c>
      <c r="I3" s="16" t="s">
        <v>82</v>
      </c>
      <c r="J3" s="16" t="s">
        <v>83</v>
      </c>
      <c r="K3" s="16" t="s">
        <v>84</v>
      </c>
      <c r="L3" s="16" t="s">
        <v>85</v>
      </c>
      <c r="M3" s="16" t="s">
        <v>86</v>
      </c>
      <c r="N3" s="16" t="s">
        <v>87</v>
      </c>
      <c r="O3" s="16" t="s">
        <v>90</v>
      </c>
    </row>
    <row r="4" spans="1:15">
      <c r="A4" s="14" t="s">
        <v>37</v>
      </c>
      <c r="B4" s="17" t="s">
        <v>91</v>
      </c>
      <c r="C4" s="18">
        <f>Parameters!B60*Parameters!$B22*Parameters!$B5+Parameters!B61*Parameters!$B23*Parameters!$B5</f>
        <v>293750</v>
      </c>
      <c r="D4" s="18">
        <f>Parameters!C60*Parameters!$B22*Parameters!$B5+Parameters!C61*Parameters!$B23*Parameters!$B5</f>
        <v>300937.5</v>
      </c>
      <c r="E4" s="18">
        <f>Parameters!D60*Parameters!$B22*Parameters!$B5+Parameters!D61*Parameters!$B23*Parameters!$B5</f>
        <v>308334.375</v>
      </c>
      <c r="F4" s="18">
        <f>Parameters!E60*Parameters!$B22*Parameters!$B5+Parameters!E61*Parameters!$B23*Parameters!$B5</f>
        <v>315948.09375</v>
      </c>
      <c r="G4" s="18">
        <f>Parameters!F60*Parameters!$B22*Parameters!$B5+Parameters!F61*Parameters!$B23*Parameters!$B5</f>
        <v>323786.4384375</v>
      </c>
      <c r="H4" s="18">
        <f>Parameters!G60*Parameters!$B22*Parameters!$B5+Parameters!G61*Parameters!$B23*Parameters!$B5</f>
        <v>330262.16720625</v>
      </c>
      <c r="I4" s="18">
        <f>Parameters!H60*Parameters!$B22*Parameters!$B5+Parameters!H61*Parameters!$B23*Parameters!$B5</f>
        <v>336867.410550375</v>
      </c>
      <c r="J4" s="18">
        <f>Parameters!I60*Parameters!$B22*Parameters!$B5+Parameters!I61*Parameters!$B23*Parameters!$B5</f>
        <v>343604.758761383</v>
      </c>
      <c r="K4" s="18">
        <f>Parameters!J60*Parameters!$B22*Parameters!$B5+Parameters!J61*Parameters!$B23*Parameters!$B5</f>
        <v>350476.853936611</v>
      </c>
      <c r="L4" s="18">
        <f>Parameters!K60*Parameters!$B22*Parameters!$B5+Parameters!K61*Parameters!$B23*Parameters!$B5</f>
        <v>357486.391015342</v>
      </c>
      <c r="M4" s="18">
        <f>Parameters!L60*Parameters!$B22*Parameters!$B5+Parameters!L61*Parameters!$B23*Parameters!$B5</f>
        <v>364636.11883565</v>
      </c>
      <c r="N4" s="18">
        <f>Parameters!M60*Parameters!$B22*Parameters!$B5+Parameters!M61*Parameters!$B23*Parameters!$B5</f>
        <v>371928.841212362</v>
      </c>
      <c r="O4" s="29"/>
    </row>
    <row r="5" spans="1:15">
      <c r="A5" s="14"/>
      <c r="B5" s="17" t="s">
        <v>42</v>
      </c>
      <c r="C5" s="18">
        <f>Parameters!$B24*Parameters!$B11*Parameters!B61</f>
        <v>125</v>
      </c>
      <c r="D5" s="18">
        <f>Parameters!$B24*Parameters!$B11*Parameters!C61</f>
        <v>131.25</v>
      </c>
      <c r="E5" s="18">
        <f>Parameters!$B24*Parameters!$B11*Parameters!D61</f>
        <v>137.8125</v>
      </c>
      <c r="F5" s="18">
        <f>Parameters!$B24*Parameters!$B11*Parameters!E61</f>
        <v>144.703125</v>
      </c>
      <c r="G5" s="18">
        <f>Parameters!$B24*Parameters!$B11*Parameters!F61</f>
        <v>151.93828125</v>
      </c>
      <c r="H5" s="18">
        <f>Parameters!$B24*Parameters!$B11*Parameters!G61</f>
        <v>154.977046875</v>
      </c>
      <c r="I5" s="18">
        <f>Parameters!$B24*Parameters!$B11*Parameters!H61</f>
        <v>158.0765878125</v>
      </c>
      <c r="J5" s="18">
        <f>Parameters!$B24*Parameters!$B11*Parameters!I61</f>
        <v>161.23811956875</v>
      </c>
      <c r="K5" s="18">
        <f>Parameters!$B24*Parameters!$B11*Parameters!J61</f>
        <v>164.462881960125</v>
      </c>
      <c r="L5" s="18">
        <f>Parameters!$B24*Parameters!$B11*Parameters!K61</f>
        <v>167.752139599327</v>
      </c>
      <c r="M5" s="18">
        <f>Parameters!$B24*Parameters!$B11*Parameters!L61</f>
        <v>171.107182391314</v>
      </c>
      <c r="N5" s="18">
        <f>Parameters!$B24*Parameters!$B11*Parameters!M61</f>
        <v>174.52932603914</v>
      </c>
      <c r="O5" s="29"/>
    </row>
    <row r="6" spans="1:15">
      <c r="A6" s="14"/>
      <c r="B6" s="17" t="s">
        <v>44</v>
      </c>
      <c r="C6" s="18">
        <f>Parameters!$B25</f>
        <v>8000</v>
      </c>
      <c r="D6" s="18">
        <f>Parameters!$B25</f>
        <v>8000</v>
      </c>
      <c r="E6" s="18">
        <f>Parameters!$B25</f>
        <v>8000</v>
      </c>
      <c r="F6" s="18">
        <f>Parameters!$B25</f>
        <v>8000</v>
      </c>
      <c r="G6" s="18">
        <f>Parameters!$B25</f>
        <v>8000</v>
      </c>
      <c r="H6" s="18">
        <f>Parameters!$B25</f>
        <v>8000</v>
      </c>
      <c r="I6" s="18">
        <f>Parameters!$B25</f>
        <v>8000</v>
      </c>
      <c r="J6" s="18">
        <f>Parameters!$B25</f>
        <v>8000</v>
      </c>
      <c r="K6" s="18">
        <f>Parameters!$B25</f>
        <v>8000</v>
      </c>
      <c r="L6" s="18">
        <f>Parameters!$B25</f>
        <v>8000</v>
      </c>
      <c r="M6" s="18">
        <f>Parameters!$B25</f>
        <v>8000</v>
      </c>
      <c r="N6" s="18">
        <f>Parameters!$B25</f>
        <v>8000</v>
      </c>
      <c r="O6" s="29"/>
    </row>
    <row r="7" spans="1:15">
      <c r="A7" s="14"/>
      <c r="B7" s="17" t="s">
        <v>45</v>
      </c>
      <c r="C7" s="18">
        <f>Parameters!B26/Parameters!B7</f>
        <v>10000</v>
      </c>
      <c r="D7" s="18">
        <f>Parameters!B26/Parameters!B7</f>
        <v>10000</v>
      </c>
      <c r="E7" s="18">
        <f>Parameters!B26/Parameters!B7</f>
        <v>10000</v>
      </c>
      <c r="F7" s="18">
        <f>Parameters!B26/Parameters!B7</f>
        <v>10000</v>
      </c>
      <c r="G7" s="18">
        <f>Parameters!B26/Parameters!B7</f>
        <v>10000</v>
      </c>
      <c r="H7" s="18">
        <f>Parameters!B26/Parameters!B7</f>
        <v>10000</v>
      </c>
      <c r="I7" s="18">
        <f>Parameters!B26/Parameters!B7</f>
        <v>10000</v>
      </c>
      <c r="J7" s="18">
        <f>Parameters!B26/Parameters!B7</f>
        <v>10000</v>
      </c>
      <c r="K7" s="18">
        <f>Parameters!B26/Parameters!B7</f>
        <v>10000</v>
      </c>
      <c r="L7" s="18">
        <f>Parameters!B26/Parameters!B7</f>
        <v>10000</v>
      </c>
      <c r="M7" s="18">
        <f>Parameters!B26/Parameters!B7</f>
        <v>10000</v>
      </c>
      <c r="N7" s="18">
        <f>Parameters!B26/Parameters!B7</f>
        <v>10000</v>
      </c>
      <c r="O7" s="29"/>
    </row>
    <row r="8" spans="1:15">
      <c r="A8" s="19" t="s">
        <v>92</v>
      </c>
      <c r="B8" s="19"/>
      <c r="C8" s="18">
        <f>SUM(C4:C7)</f>
        <v>311875</v>
      </c>
      <c r="D8" s="18">
        <f t="shared" ref="D8:N8" si="0">SUM(D4:D7)</f>
        <v>319068.75</v>
      </c>
      <c r="E8" s="18">
        <f t="shared" si="0"/>
        <v>326472.1875</v>
      </c>
      <c r="F8" s="18">
        <f t="shared" si="0"/>
        <v>334092.796875</v>
      </c>
      <c r="G8" s="18">
        <f t="shared" si="0"/>
        <v>341938.37671875</v>
      </c>
      <c r="H8" s="18">
        <f t="shared" si="0"/>
        <v>348417.144253125</v>
      </c>
      <c r="I8" s="18">
        <f t="shared" si="0"/>
        <v>355025.487138188</v>
      </c>
      <c r="J8" s="18">
        <f t="shared" si="0"/>
        <v>361765.996880951</v>
      </c>
      <c r="K8" s="18">
        <f t="shared" si="0"/>
        <v>368641.316818571</v>
      </c>
      <c r="L8" s="18">
        <f t="shared" si="0"/>
        <v>375654.143154941</v>
      </c>
      <c r="M8" s="18">
        <f t="shared" si="0"/>
        <v>382807.226018041</v>
      </c>
      <c r="N8" s="18">
        <f t="shared" si="0"/>
        <v>390103.370538401</v>
      </c>
      <c r="O8" s="18">
        <f>SUM(C8:N8)</f>
        <v>4215861.79589597</v>
      </c>
    </row>
    <row r="9" spans="1:15">
      <c r="A9" s="14" t="s">
        <v>93</v>
      </c>
      <c r="B9" s="17" t="s">
        <v>94</v>
      </c>
      <c r="C9" s="20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30"/>
    </row>
    <row r="10" spans="1:15">
      <c r="A10" s="14"/>
      <c r="B10" s="17" t="s">
        <v>95</v>
      </c>
      <c r="C10" s="21">
        <f>Parameters!B6*Parameters!B5*Parameters!B8</f>
        <v>250000</v>
      </c>
      <c r="D10" s="21">
        <f>Parameters!B6*Parameters!B5*(Parameters!B9*(1+Parameters!B14)+Parameters!B10*(1+Parameters!B17))</f>
        <v>256500</v>
      </c>
      <c r="E10" s="21">
        <f>Parameters!B6*Parameters!B5*(Parameters!B9*POWER(1+Parameters!B14,2)+Parameters!B10*POWER(1+Parameters!B17,2))</f>
        <v>263205</v>
      </c>
      <c r="F10" s="21">
        <f>Parameters!B6*Parameters!B5*(Parameters!B9*POWER(1+Parameters!B14,3)+Parameters!B10*POWER(1+Parameters!B17,3))</f>
        <v>270122.85</v>
      </c>
      <c r="G10" s="21">
        <f>Parameters!B6*Parameters!B5*(Parameters!B9*POWER(1+Parameters!B14,4)+Parameters!B10*POWER(1+Parameters!B17,4))</f>
        <v>277261.7445</v>
      </c>
      <c r="H10" s="21">
        <f>Parameters!B6*Parameters!B5*(Parameters!B9*POWER(1+Parameters!B15,5)+Parameters!B19*POWER(1+Parameters!B18,1))</f>
        <v>282806.97939</v>
      </c>
      <c r="I10" s="21">
        <f>Parameters!B6*Parameters!B5*(Parameters!B9*POWER(1+Parameters!B15,6)+Parameters!B19*POWER(1+Parameters!B18,2))</f>
        <v>288463.1189778</v>
      </c>
      <c r="J10" s="21">
        <f>Parameters!B6*Parameters!B5*(Parameters!B9*POWER(1+Parameters!B15,7)+Parameters!B19*POWER(1+Parameters!B18,3))</f>
        <v>294232.381357356</v>
      </c>
      <c r="K10" s="21">
        <f>Parameters!B6*Parameters!B5*(Parameters!B9*POWER(1+Parameters!B15,8)+Parameters!B19*POWER(1+Parameters!B18,4))</f>
        <v>300117.028984503</v>
      </c>
      <c r="L10" s="21">
        <f>Parameters!B6*Parameters!B5*(Parameters!B9*POWER(1+Parameters!B15,9)+Parameters!B19*POWER(1+Parameters!B18,5))</f>
        <v>306119.369564193</v>
      </c>
      <c r="M10" s="21">
        <f>Parameters!B6*Parameters!B5*(Parameters!B9*POWER(1+Parameters!B15,10)+Parameters!B19*POWER(1+Parameters!B18,6))</f>
        <v>312241.756955477</v>
      </c>
      <c r="N10" s="21">
        <f>Parameters!B6*Parameters!B5*(Parameters!B9*POWER(1+Parameters!B15,11)+Parameters!B19*POWER(1+Parameters!B18,7))</f>
        <v>318486.592094587</v>
      </c>
      <c r="O10" s="30"/>
    </row>
    <row r="11" spans="1:15">
      <c r="A11" s="14"/>
      <c r="B11" s="17" t="s">
        <v>96</v>
      </c>
      <c r="C11" s="21">
        <f>Parameters!B6*Parameters!B5*Parameters!B8</f>
        <v>250000</v>
      </c>
      <c r="D11" s="21">
        <f>Parameters!B6*Parameters!B5*(Parameters!B9*(1+Parameters!B14)+Parameters!B10*(1+Parameters!B17))</f>
        <v>256500</v>
      </c>
      <c r="E11" s="21">
        <f>Parameters!B6*Parameters!B5*(Parameters!B9*POWER(1+Parameters!B14,2)+Parameters!B10*POWER(1+Parameters!B17,2))</f>
        <v>263205</v>
      </c>
      <c r="F11" s="21">
        <f>Parameters!B6*Parameters!B5*(Parameters!B9*POWER(1+Parameters!B14,3)+Parameters!B10*POWER(1+Parameters!B17,3))</f>
        <v>270122.85</v>
      </c>
      <c r="G11" s="21">
        <f>Parameters!B6*Parameters!B5*(Parameters!B9*POWER(1+Parameters!B14,4)+Parameters!B10*POWER(1+Parameters!B17,4))</f>
        <v>277261.7445</v>
      </c>
      <c r="H11" s="21">
        <f>Parameters!B6*Parameters!B5*(Parameters!B9*POWER(1+Parameters!B15,5)+Parameters!B19*POWER(1+Parameters!B18,1))</f>
        <v>282806.97939</v>
      </c>
      <c r="I11" s="21">
        <f>Parameters!B6*Parameters!B5*(Parameters!B9*POWER(1+Parameters!B15,6)+Parameters!B19*POWER(1+Parameters!B18,2))</f>
        <v>288463.1189778</v>
      </c>
      <c r="J11" s="21">
        <f>Parameters!B6*Parameters!B5*(Parameters!B9*POWER(1+Parameters!B15,7)+Parameters!B19*POWER(1+Parameters!B18,3))</f>
        <v>294232.381357356</v>
      </c>
      <c r="K11" s="21">
        <f>Parameters!B6*Parameters!B5*(Parameters!B9*POWER(1+Parameters!B15,8)+Parameters!B19*POWER(1+Parameters!B18,4))</f>
        <v>300117.028984503</v>
      </c>
      <c r="L11" s="21">
        <f>Parameters!B6*Parameters!B5*(Parameters!B9*POWER(1+Parameters!B15,9)+Parameters!B19*POWER(1+Parameters!B18,5))</f>
        <v>306119.369564193</v>
      </c>
      <c r="M11" s="21">
        <f>Parameters!B6*Parameters!B5*(Parameters!B9*POWER(1+Parameters!B15,10)+Parameters!B19*POWER(1+Parameters!B18,6))</f>
        <v>312241.756955477</v>
      </c>
      <c r="N11" s="21">
        <f>Parameters!B6*Parameters!B5*(Parameters!B9*POWER(1+Parameters!B15,11)+Parameters!B19*POWER(1+Parameters!B18,7))</f>
        <v>318486.592094587</v>
      </c>
      <c r="O11" s="30"/>
    </row>
    <row r="12" spans="1:15">
      <c r="A12" s="14"/>
      <c r="B12" s="17" t="s">
        <v>97</v>
      </c>
      <c r="C12" s="20"/>
      <c r="D12" s="2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30"/>
    </row>
    <row r="13" spans="1:15">
      <c r="A13" s="14"/>
      <c r="B13" s="17" t="s">
        <v>95</v>
      </c>
      <c r="C13" s="21">
        <f>Parameters!B30*Parameters!B33-Parameters!B33*Parameters!B31/Parameters!B7</f>
        <v>166</v>
      </c>
      <c r="D13" s="21">
        <f>Parameters!B30*Parameters!B33-Parameters!B33*Parameters!B31/Parameters!B7</f>
        <v>166</v>
      </c>
      <c r="E13" s="21">
        <f>Parameters!B30*Parameters!B33-Parameters!B33*Parameters!B31/Parameters!B7</f>
        <v>166</v>
      </c>
      <c r="F13" s="21">
        <f>Parameters!B30*Parameters!B33-Parameters!B33*Parameters!B31/Parameters!B7</f>
        <v>166</v>
      </c>
      <c r="G13" s="21">
        <f>Parameters!B30*Parameters!B33-Parameters!B33*Parameters!B31/Parameters!B7</f>
        <v>166</v>
      </c>
      <c r="H13" s="21">
        <f>Parameters!B30*Parameters!B33-Parameters!B33*Parameters!B31/Parameters!B7</f>
        <v>166</v>
      </c>
      <c r="I13" s="21">
        <f>Parameters!B30*Parameters!B33-Parameters!B33*Parameters!B31/Parameters!B7</f>
        <v>166</v>
      </c>
      <c r="J13" s="21">
        <f>Parameters!B30*Parameters!B33-Parameters!B33*Parameters!B31/Parameters!B7</f>
        <v>166</v>
      </c>
      <c r="K13" s="21">
        <f>Parameters!B30*Parameters!B33-Parameters!B33*Parameters!B31/Parameters!B7</f>
        <v>166</v>
      </c>
      <c r="L13" s="21">
        <f>Parameters!B30*Parameters!B33-Parameters!B33*Parameters!B31/Parameters!B7</f>
        <v>166</v>
      </c>
      <c r="M13" s="21">
        <f>Parameters!B30*Parameters!B33-Parameters!B33*Parameters!B31/Parameters!B7</f>
        <v>166</v>
      </c>
      <c r="N13" s="21">
        <f>Parameters!B30*Parameters!B33-Parameters!B33*Parameters!B31/Parameters!B7</f>
        <v>166</v>
      </c>
      <c r="O13" s="30"/>
    </row>
    <row r="14" spans="1:15">
      <c r="A14" s="14"/>
      <c r="B14" s="17" t="s">
        <v>96</v>
      </c>
      <c r="C14" s="21">
        <f>Parameters!B30*Parameters!B33</f>
        <v>176</v>
      </c>
      <c r="D14" s="21">
        <f>Parameters!B30*Parameters!B33</f>
        <v>176</v>
      </c>
      <c r="E14" s="21">
        <f>Parameters!B30*Parameters!B33</f>
        <v>176</v>
      </c>
      <c r="F14" s="21">
        <f>Parameters!B30*Parameters!B33</f>
        <v>176</v>
      </c>
      <c r="G14" s="21">
        <f>Parameters!B30*Parameters!B33</f>
        <v>176</v>
      </c>
      <c r="H14" s="21">
        <f>Parameters!B30*Parameters!B33</f>
        <v>176</v>
      </c>
      <c r="I14" s="21">
        <f>Parameters!B30*Parameters!B33</f>
        <v>176</v>
      </c>
      <c r="J14" s="21">
        <f>Parameters!B30*Parameters!B33</f>
        <v>176</v>
      </c>
      <c r="K14" s="21">
        <f>Parameters!B30*Parameters!B33</f>
        <v>176</v>
      </c>
      <c r="L14" s="21">
        <f>Parameters!B30*Parameters!B33</f>
        <v>176</v>
      </c>
      <c r="M14" s="21">
        <f>Parameters!B30*Parameters!B33</f>
        <v>176</v>
      </c>
      <c r="N14" s="21">
        <f>Parameters!B30*Parameters!B33</f>
        <v>176</v>
      </c>
      <c r="O14" s="30"/>
    </row>
    <row r="15" spans="1:15">
      <c r="A15" s="14"/>
      <c r="B15" s="22" t="s">
        <v>98</v>
      </c>
      <c r="C15" s="21">
        <f>C10/(Parameters!B46*C13)</f>
        <v>25.1004016064257</v>
      </c>
      <c r="D15" s="21">
        <f>D10/(Parameters!$B46*D13)</f>
        <v>25.7530120481928</v>
      </c>
      <c r="E15" s="21">
        <f>E10/(Parameters!$B46*E13)</f>
        <v>26.4262048192771</v>
      </c>
      <c r="F15" s="21">
        <f>F10/(Parameters!$B46*F13)</f>
        <v>27.1207680722892</v>
      </c>
      <c r="G15" s="21">
        <f>G10/(Parameters!$B46*G13)</f>
        <v>27.8375245481928</v>
      </c>
      <c r="H15" s="21">
        <f>H10/(Parameters!$B46*H13)</f>
        <v>28.3942750391566</v>
      </c>
      <c r="I15" s="21">
        <f>I10/(Parameters!$B46*I13)</f>
        <v>28.9621605399398</v>
      </c>
      <c r="J15" s="21">
        <f>J10/(Parameters!$B46*J13)</f>
        <v>29.5414037507386</v>
      </c>
      <c r="K15" s="21">
        <f>K10/(Parameters!$B46*K13)</f>
        <v>30.1322318257533</v>
      </c>
      <c r="L15" s="21">
        <f>L10/(Parameters!$B46*L13)</f>
        <v>30.7348764622684</v>
      </c>
      <c r="M15" s="21">
        <f>M10/(Parameters!$B46*M13)</f>
        <v>31.3495739915138</v>
      </c>
      <c r="N15" s="21">
        <f>N10/(Parameters!$B46*N13)</f>
        <v>31.9765654713441</v>
      </c>
      <c r="O15" s="30"/>
    </row>
    <row r="16" spans="1:15">
      <c r="A16" s="14"/>
      <c r="B16" s="22" t="s">
        <v>99</v>
      </c>
      <c r="C16" s="21">
        <f>ROUNDUP(C15,0)</f>
        <v>26</v>
      </c>
      <c r="D16" s="21">
        <f>ROUNDUP(D15,0)</f>
        <v>26</v>
      </c>
      <c r="E16" s="21">
        <f t="shared" ref="E16:O16" si="1">ROUNDUP(E15,0)</f>
        <v>27</v>
      </c>
      <c r="F16" s="21">
        <f t="shared" si="1"/>
        <v>28</v>
      </c>
      <c r="G16" s="21">
        <f t="shared" si="1"/>
        <v>28</v>
      </c>
      <c r="H16" s="21">
        <f t="shared" si="1"/>
        <v>29</v>
      </c>
      <c r="I16" s="21">
        <f t="shared" si="1"/>
        <v>29</v>
      </c>
      <c r="J16" s="21">
        <f t="shared" si="1"/>
        <v>30</v>
      </c>
      <c r="K16" s="21">
        <f t="shared" si="1"/>
        <v>31</v>
      </c>
      <c r="L16" s="21">
        <f t="shared" si="1"/>
        <v>31</v>
      </c>
      <c r="M16" s="21">
        <f t="shared" si="1"/>
        <v>32</v>
      </c>
      <c r="N16" s="21">
        <f t="shared" si="1"/>
        <v>32</v>
      </c>
      <c r="O16" s="30"/>
    </row>
    <row r="17" spans="1:15">
      <c r="A17" s="14"/>
      <c r="B17" s="22" t="s">
        <v>100</v>
      </c>
      <c r="C17" s="21">
        <f>C11/(Parameters!B47*C14)</f>
        <v>14.2045454545455</v>
      </c>
      <c r="D17" s="21">
        <f>D11/(Parameters!$B47*D14)</f>
        <v>14.5738636363636</v>
      </c>
      <c r="E17" s="21">
        <f>E11/(Parameters!$B47*E14)</f>
        <v>14.9548295454545</v>
      </c>
      <c r="F17" s="21">
        <f>F11/(Parameters!$B47*F14)</f>
        <v>15.3478892045455</v>
      </c>
      <c r="G17" s="21">
        <f>G11/(Parameters!$B47*G14)</f>
        <v>15.7535082102273</v>
      </c>
      <c r="H17" s="21">
        <f>H11/(Parameters!$B47*H14)</f>
        <v>16.0685783744318</v>
      </c>
      <c r="I17" s="21">
        <f>I11/(Parameters!$B47*I14)</f>
        <v>16.3899499419205</v>
      </c>
      <c r="J17" s="21">
        <f>J11/(Parameters!$B47*J14)</f>
        <v>16.7177489407589</v>
      </c>
      <c r="K17" s="21">
        <f>K11/(Parameters!$B47*K14)</f>
        <v>17.052103919574</v>
      </c>
      <c r="L17" s="21">
        <f>L11/(Parameters!$B47*L14)</f>
        <v>17.3931459979655</v>
      </c>
      <c r="M17" s="21">
        <f>M11/(Parameters!$B47*M14)</f>
        <v>17.7410089179248</v>
      </c>
      <c r="N17" s="21">
        <f>N11/(Parameters!$B47*N14)</f>
        <v>18.0958290962834</v>
      </c>
      <c r="O17" s="30"/>
    </row>
    <row r="18" spans="1:15">
      <c r="A18" s="14"/>
      <c r="B18" s="23" t="s">
        <v>99</v>
      </c>
      <c r="C18" s="21">
        <f>ROUNDUP(C17,0)</f>
        <v>15</v>
      </c>
      <c r="D18" s="21">
        <f>ROUNDUP(D17,0)</f>
        <v>15</v>
      </c>
      <c r="E18" s="21">
        <f t="shared" ref="E18:O18" si="2">ROUNDUP(E17,0)</f>
        <v>15</v>
      </c>
      <c r="F18" s="21">
        <f t="shared" si="2"/>
        <v>16</v>
      </c>
      <c r="G18" s="21">
        <f t="shared" si="2"/>
        <v>16</v>
      </c>
      <c r="H18" s="21">
        <f t="shared" si="2"/>
        <v>17</v>
      </c>
      <c r="I18" s="21">
        <f t="shared" si="2"/>
        <v>17</v>
      </c>
      <c r="J18" s="21">
        <f t="shared" si="2"/>
        <v>17</v>
      </c>
      <c r="K18" s="21">
        <f t="shared" si="2"/>
        <v>18</v>
      </c>
      <c r="L18" s="21">
        <f t="shared" si="2"/>
        <v>18</v>
      </c>
      <c r="M18" s="21">
        <f t="shared" si="2"/>
        <v>18</v>
      </c>
      <c r="N18" s="21">
        <f t="shared" si="2"/>
        <v>19</v>
      </c>
      <c r="O18" s="30"/>
    </row>
    <row r="19" spans="1:15">
      <c r="A19" s="14" t="s">
        <v>101</v>
      </c>
      <c r="B19" s="17" t="s">
        <v>102</v>
      </c>
      <c r="C19" s="18">
        <f>Parameters!$B35</f>
        <v>6500</v>
      </c>
      <c r="D19" s="18">
        <f>Parameters!$B35</f>
        <v>6500</v>
      </c>
      <c r="E19" s="18">
        <f>Parameters!$B35</f>
        <v>6500</v>
      </c>
      <c r="F19" s="18">
        <f>Parameters!$B35</f>
        <v>6500</v>
      </c>
      <c r="G19" s="18">
        <f>Parameters!$B35</f>
        <v>6500</v>
      </c>
      <c r="H19" s="18">
        <f>Parameters!$B35</f>
        <v>6500</v>
      </c>
      <c r="I19" s="18">
        <f>Parameters!$B35</f>
        <v>6500</v>
      </c>
      <c r="J19" s="18">
        <f>Parameters!$B35</f>
        <v>6500</v>
      </c>
      <c r="K19" s="18">
        <f>Parameters!$B35</f>
        <v>6500</v>
      </c>
      <c r="L19" s="18">
        <f>Parameters!$B35</f>
        <v>6500</v>
      </c>
      <c r="M19" s="18">
        <f>Parameters!$B35</f>
        <v>6500</v>
      </c>
      <c r="N19" s="18">
        <f>Parameters!$B35</f>
        <v>6500</v>
      </c>
      <c r="O19" s="30"/>
    </row>
    <row r="20" spans="1:15">
      <c r="A20" s="14"/>
      <c r="B20" s="17" t="s">
        <v>103</v>
      </c>
      <c r="C20" s="18">
        <f>Parameters!$B36</f>
        <v>8000</v>
      </c>
      <c r="D20" s="18">
        <f>Parameters!$B36</f>
        <v>8000</v>
      </c>
      <c r="E20" s="18">
        <f>Parameters!$B36</f>
        <v>8000</v>
      </c>
      <c r="F20" s="18">
        <f>Parameters!$B36</f>
        <v>8000</v>
      </c>
      <c r="G20" s="18">
        <f>Parameters!$B36</f>
        <v>8000</v>
      </c>
      <c r="H20" s="18">
        <f>Parameters!$B36</f>
        <v>8000</v>
      </c>
      <c r="I20" s="18">
        <f>Parameters!$B36</f>
        <v>8000</v>
      </c>
      <c r="J20" s="18">
        <f>Parameters!$B36</f>
        <v>8000</v>
      </c>
      <c r="K20" s="18">
        <f>Parameters!$B36</f>
        <v>8000</v>
      </c>
      <c r="L20" s="18">
        <f>Parameters!$B36</f>
        <v>8000</v>
      </c>
      <c r="M20" s="18">
        <f>Parameters!$B36</f>
        <v>8000</v>
      </c>
      <c r="N20" s="18">
        <f>Parameters!$B36</f>
        <v>8000</v>
      </c>
      <c r="O20" s="30"/>
    </row>
    <row r="21" spans="1:15">
      <c r="A21" s="14"/>
      <c r="B21" s="17" t="s">
        <v>104</v>
      </c>
      <c r="C21" s="18">
        <f>Parameters!$B30*Parameters!$B33*Parameters!$B37*C16</f>
        <v>114400</v>
      </c>
      <c r="D21" s="18">
        <f>Parameters!$B30*Parameters!$B33*Parameters!$B37*D16</f>
        <v>114400</v>
      </c>
      <c r="E21" s="18">
        <f>Parameters!$B30*Parameters!$B33*Parameters!$B37*E16</f>
        <v>118800</v>
      </c>
      <c r="F21" s="18">
        <f>Parameters!$B30*Parameters!$B33*Parameters!$B37*F16</f>
        <v>123200</v>
      </c>
      <c r="G21" s="18">
        <f>Parameters!$B30*Parameters!$B33*Parameters!$B37*G16</f>
        <v>123200</v>
      </c>
      <c r="H21" s="18">
        <f>Parameters!$B30*Parameters!$B33*Parameters!$B37*H16</f>
        <v>127600</v>
      </c>
      <c r="I21" s="18">
        <f>Parameters!$B30*Parameters!$B33*Parameters!$B37*I16</f>
        <v>127600</v>
      </c>
      <c r="J21" s="18">
        <f>Parameters!$B30*Parameters!$B33*Parameters!$B37*J16</f>
        <v>132000</v>
      </c>
      <c r="K21" s="18">
        <f>Parameters!$B30*Parameters!$B33*Parameters!$B37*K16</f>
        <v>136400</v>
      </c>
      <c r="L21" s="18">
        <f>Parameters!$B30*Parameters!$B33*Parameters!$B37*L16</f>
        <v>136400</v>
      </c>
      <c r="M21" s="18">
        <f>Parameters!$B30*Parameters!$B33*Parameters!$B37*M16</f>
        <v>140800</v>
      </c>
      <c r="N21" s="18">
        <f>Parameters!$B30*Parameters!$B33*Parameters!$B37*N16</f>
        <v>140800</v>
      </c>
      <c r="O21" s="30"/>
    </row>
    <row r="22" spans="1:15">
      <c r="A22" s="14"/>
      <c r="B22" s="17" t="s">
        <v>105</v>
      </c>
      <c r="C22" s="18">
        <f>Parameters!$B30*Parameters!$B33*Parameters!$B38*C18</f>
        <v>42240</v>
      </c>
      <c r="D22" s="18">
        <f>Parameters!$B30*Parameters!$B33*Parameters!$B38*D18</f>
        <v>42240</v>
      </c>
      <c r="E22" s="18">
        <f>Parameters!$B30*Parameters!$B33*Parameters!$B38*E18</f>
        <v>42240</v>
      </c>
      <c r="F22" s="18">
        <f>Parameters!$B30*Parameters!$B33*Parameters!$B38*F18</f>
        <v>45056</v>
      </c>
      <c r="G22" s="18">
        <f>Parameters!$B30*Parameters!$B33*Parameters!$B38*G18</f>
        <v>45056</v>
      </c>
      <c r="H22" s="18">
        <f>Parameters!$B30*Parameters!$B33*Parameters!$B38*H18</f>
        <v>47872</v>
      </c>
      <c r="I22" s="18">
        <f>Parameters!$B30*Parameters!$B33*Parameters!$B38*I18</f>
        <v>47872</v>
      </c>
      <c r="J22" s="18">
        <f>Parameters!$B30*Parameters!$B33*Parameters!$B38*J18</f>
        <v>47872</v>
      </c>
      <c r="K22" s="18">
        <f>Parameters!$B30*Parameters!$B33*Parameters!$B38*K18</f>
        <v>50688</v>
      </c>
      <c r="L22" s="18">
        <f>Parameters!$B30*Parameters!$B33*Parameters!$B38*L18</f>
        <v>50688</v>
      </c>
      <c r="M22" s="18">
        <f>Parameters!$B30*Parameters!$B33*Parameters!$B38*M18</f>
        <v>50688</v>
      </c>
      <c r="N22" s="18">
        <f>Parameters!$B30*Parameters!$B33*Parameters!$B38*N18</f>
        <v>53504</v>
      </c>
      <c r="O22" s="30"/>
    </row>
    <row r="23" spans="1:15">
      <c r="A23" s="14"/>
      <c r="B23" s="17" t="s">
        <v>106</v>
      </c>
      <c r="C23" s="18">
        <f>SUM(C19:C22)</f>
        <v>171140</v>
      </c>
      <c r="D23" s="18">
        <f t="shared" ref="D23:N23" si="3">SUM(D19:D22)</f>
        <v>171140</v>
      </c>
      <c r="E23" s="18">
        <f t="shared" si="3"/>
        <v>175540</v>
      </c>
      <c r="F23" s="18">
        <f t="shared" si="3"/>
        <v>182756</v>
      </c>
      <c r="G23" s="18">
        <f t="shared" si="3"/>
        <v>182756</v>
      </c>
      <c r="H23" s="18">
        <f t="shared" si="3"/>
        <v>189972</v>
      </c>
      <c r="I23" s="18">
        <f t="shared" si="3"/>
        <v>189972</v>
      </c>
      <c r="J23" s="18">
        <f t="shared" si="3"/>
        <v>194372</v>
      </c>
      <c r="K23" s="18">
        <f t="shared" si="3"/>
        <v>201588</v>
      </c>
      <c r="L23" s="18">
        <f t="shared" si="3"/>
        <v>201588</v>
      </c>
      <c r="M23" s="18">
        <f t="shared" si="3"/>
        <v>205988</v>
      </c>
      <c r="N23" s="18">
        <f t="shared" si="3"/>
        <v>208804</v>
      </c>
      <c r="O23" s="30"/>
    </row>
    <row r="24" spans="1:15">
      <c r="A24" s="14" t="s">
        <v>107</v>
      </c>
      <c r="B24" s="17" t="s">
        <v>108</v>
      </c>
      <c r="C24" s="18">
        <f>(C19+C20+C21)*Parameters!$B41</f>
        <v>9860.85</v>
      </c>
      <c r="D24" s="18">
        <f>(D19+D20+D21)*Parameters!$B41</f>
        <v>9860.85</v>
      </c>
      <c r="E24" s="18">
        <f>(E19+E20+E21)*Parameters!$B41</f>
        <v>10197.45</v>
      </c>
      <c r="F24" s="18">
        <f>(F19+F20+F21)*Parameters!$B41</f>
        <v>10534.05</v>
      </c>
      <c r="G24" s="18">
        <f>(G19+G20+G21)*Parameters!$B41</f>
        <v>10534.05</v>
      </c>
      <c r="H24" s="18">
        <f>(H19+H20+H21)*Parameters!$B41</f>
        <v>10870.65</v>
      </c>
      <c r="I24" s="18">
        <f>(I19+I20+I21)*Parameters!$B41</f>
        <v>10870.65</v>
      </c>
      <c r="J24" s="18">
        <f>(J19+J20+J21)*Parameters!$B41</f>
        <v>11207.25</v>
      </c>
      <c r="K24" s="18">
        <f>(K19+K20+K21)*Parameters!$B41</f>
        <v>11543.85</v>
      </c>
      <c r="L24" s="18">
        <f>(L19+L20+L21)*Parameters!$B41</f>
        <v>11543.85</v>
      </c>
      <c r="M24" s="18">
        <f>(M19+M20+M21)*Parameters!$B41</f>
        <v>11880.45</v>
      </c>
      <c r="N24" s="18">
        <f>(N19+N20+N21)*Parameters!$B41</f>
        <v>11880.45</v>
      </c>
      <c r="O24" s="30"/>
    </row>
    <row r="25" spans="1:15">
      <c r="A25" s="14"/>
      <c r="B25" s="24" t="s">
        <v>109</v>
      </c>
      <c r="C25" s="18">
        <f>(C19+C20+C21)*Parameters!$B42</f>
        <v>10312</v>
      </c>
      <c r="D25" s="18">
        <f>(D19+D20+D21)*Parameters!$B42</f>
        <v>10312</v>
      </c>
      <c r="E25" s="18">
        <f>(E19+E20+E21)*Parameters!$B42</f>
        <v>10664</v>
      </c>
      <c r="F25" s="18">
        <f>(F19+F20+F21)*Parameters!$B42</f>
        <v>11016</v>
      </c>
      <c r="G25" s="18">
        <f>(G19+G20+G21)*Parameters!$B42</f>
        <v>11016</v>
      </c>
      <c r="H25" s="18">
        <f>(H19+H20+H21)*Parameters!$B42</f>
        <v>11368</v>
      </c>
      <c r="I25" s="18">
        <f>(I19+I20+I21)*Parameters!$B42</f>
        <v>11368</v>
      </c>
      <c r="J25" s="18">
        <f>(J19+J20+J21)*Parameters!$B42</f>
        <v>11720</v>
      </c>
      <c r="K25" s="18">
        <f>(K19+K20+K21)*Parameters!$B42</f>
        <v>12072</v>
      </c>
      <c r="L25" s="18">
        <f>(L19+L20+L21)*Parameters!$B42</f>
        <v>12072</v>
      </c>
      <c r="M25" s="18">
        <f>(M19+M20+M21)*Parameters!$B42</f>
        <v>12424</v>
      </c>
      <c r="N25" s="18">
        <f>(N19+N20+N21)*Parameters!$B42</f>
        <v>12424</v>
      </c>
      <c r="O25" s="30"/>
    </row>
    <row r="26" spans="1:15">
      <c r="A26" s="14"/>
      <c r="B26" s="17" t="s">
        <v>110</v>
      </c>
      <c r="C26" s="18">
        <f>(C19+C20+C21)*Parameters!$B43</f>
        <v>7734</v>
      </c>
      <c r="D26" s="18">
        <f>(D19+D20+D21)*Parameters!$B43</f>
        <v>7734</v>
      </c>
      <c r="E26" s="18">
        <f>(E19+E20+E21)*Parameters!$B43</f>
        <v>7998</v>
      </c>
      <c r="F26" s="18">
        <f>(F19+F20+F21)*Parameters!$B43</f>
        <v>8262</v>
      </c>
      <c r="G26" s="18">
        <f>(G19+G20+G21)*Parameters!$B43</f>
        <v>8262</v>
      </c>
      <c r="H26" s="18">
        <f>(H19+H20+H21)*Parameters!$B43</f>
        <v>8526</v>
      </c>
      <c r="I26" s="18">
        <f>(I19+I20+I21)*Parameters!$B43</f>
        <v>8526</v>
      </c>
      <c r="J26" s="18">
        <f>(J19+J20+J21)*Parameters!$B43</f>
        <v>8790</v>
      </c>
      <c r="K26" s="18">
        <f>(K19+K20+K21)*Parameters!$B43</f>
        <v>9054</v>
      </c>
      <c r="L26" s="18">
        <f>(L19+L20+L21)*Parameters!$B43</f>
        <v>9054</v>
      </c>
      <c r="M26" s="18">
        <f>(M19+M20+M21)*Parameters!$B43</f>
        <v>9318</v>
      </c>
      <c r="N26" s="18">
        <f>(N19+N20+N21)*Parameters!$B43</f>
        <v>9318</v>
      </c>
      <c r="O26" s="30"/>
    </row>
    <row r="27" spans="1:15">
      <c r="A27" s="14"/>
      <c r="B27" s="17" t="s">
        <v>111</v>
      </c>
      <c r="C27" s="18">
        <f>Parameters!$B44</f>
        <v>450</v>
      </c>
      <c r="D27" s="18">
        <f>Parameters!$B44</f>
        <v>450</v>
      </c>
      <c r="E27" s="18">
        <f>Parameters!$B44</f>
        <v>450</v>
      </c>
      <c r="F27" s="18">
        <f>Parameters!$B44</f>
        <v>450</v>
      </c>
      <c r="G27" s="18">
        <f>Parameters!$B44</f>
        <v>450</v>
      </c>
      <c r="H27" s="18">
        <f>Parameters!$B44</f>
        <v>450</v>
      </c>
      <c r="I27" s="18">
        <f>Parameters!$B44</f>
        <v>450</v>
      </c>
      <c r="J27" s="18">
        <f>Parameters!$B44</f>
        <v>450</v>
      </c>
      <c r="K27" s="18">
        <f>Parameters!$B44</f>
        <v>450</v>
      </c>
      <c r="L27" s="18">
        <f>Parameters!$B44</f>
        <v>450</v>
      </c>
      <c r="M27" s="18">
        <f>Parameters!$B44</f>
        <v>450</v>
      </c>
      <c r="N27" s="18">
        <f>Parameters!$B44</f>
        <v>450</v>
      </c>
      <c r="O27" s="30"/>
    </row>
    <row r="28" spans="1:15">
      <c r="A28" s="14"/>
      <c r="B28" s="17" t="s">
        <v>112</v>
      </c>
      <c r="C28" s="18">
        <f>SUM(C24:C27)</f>
        <v>28356.85</v>
      </c>
      <c r="D28" s="18">
        <f t="shared" ref="D28:N28" si="4">SUM(D24:D27)</f>
        <v>28356.85</v>
      </c>
      <c r="E28" s="18">
        <f t="shared" si="4"/>
        <v>29309.45</v>
      </c>
      <c r="F28" s="18">
        <f t="shared" si="4"/>
        <v>30262.05</v>
      </c>
      <c r="G28" s="18">
        <f t="shared" si="4"/>
        <v>30262.05</v>
      </c>
      <c r="H28" s="18">
        <f t="shared" si="4"/>
        <v>31214.65</v>
      </c>
      <c r="I28" s="18">
        <f t="shared" si="4"/>
        <v>31214.65</v>
      </c>
      <c r="J28" s="18">
        <f t="shared" si="4"/>
        <v>32167.25</v>
      </c>
      <c r="K28" s="18">
        <f t="shared" si="4"/>
        <v>33119.85</v>
      </c>
      <c r="L28" s="18">
        <f t="shared" si="4"/>
        <v>33119.85</v>
      </c>
      <c r="M28" s="18">
        <f t="shared" si="4"/>
        <v>34072.45</v>
      </c>
      <c r="N28" s="18">
        <f t="shared" si="4"/>
        <v>34072.45</v>
      </c>
      <c r="O28" s="30"/>
    </row>
    <row r="29" spans="1:15">
      <c r="A29" s="19" t="s">
        <v>113</v>
      </c>
      <c r="B29" s="19"/>
      <c r="C29" s="18">
        <f>C23+C28</f>
        <v>199496.85</v>
      </c>
      <c r="D29" s="18">
        <f>D23+D28</f>
        <v>199496.85</v>
      </c>
      <c r="E29" s="18">
        <f t="shared" ref="E29:N29" si="5">E23+E28</f>
        <v>204849.45</v>
      </c>
      <c r="F29" s="18">
        <f t="shared" si="5"/>
        <v>213018.05</v>
      </c>
      <c r="G29" s="18">
        <f t="shared" si="5"/>
        <v>213018.05</v>
      </c>
      <c r="H29" s="18">
        <f t="shared" si="5"/>
        <v>221186.65</v>
      </c>
      <c r="I29" s="18">
        <f t="shared" si="5"/>
        <v>221186.65</v>
      </c>
      <c r="J29" s="18">
        <f t="shared" si="5"/>
        <v>226539.25</v>
      </c>
      <c r="K29" s="18">
        <f t="shared" si="5"/>
        <v>234707.85</v>
      </c>
      <c r="L29" s="18">
        <f t="shared" si="5"/>
        <v>234707.85</v>
      </c>
      <c r="M29" s="18">
        <f t="shared" si="5"/>
        <v>240060.45</v>
      </c>
      <c r="N29" s="18">
        <f t="shared" si="5"/>
        <v>242876.45</v>
      </c>
      <c r="O29" s="30"/>
    </row>
    <row r="30" spans="1:15">
      <c r="A30" s="14" t="s">
        <v>114</v>
      </c>
      <c r="B30" s="24" t="s">
        <v>66</v>
      </c>
      <c r="C30" s="18">
        <f>Parameters!B49/Parameters!B7</f>
        <v>54166.6666666667</v>
      </c>
      <c r="D30" s="18">
        <f>Parameters!B49/Parameters!B7</f>
        <v>54166.6666666667</v>
      </c>
      <c r="E30" s="18">
        <f>Parameters!B49/Parameters!B7</f>
        <v>54166.6666666667</v>
      </c>
      <c r="F30" s="18">
        <f>Parameters!B49/Parameters!B7</f>
        <v>54166.6666666667</v>
      </c>
      <c r="G30" s="18">
        <f>Parameters!B49/Parameters!B7</f>
        <v>54166.6666666667</v>
      </c>
      <c r="H30" s="18">
        <f>Parameters!B49/Parameters!B7</f>
        <v>54166.6666666667</v>
      </c>
      <c r="I30" s="18">
        <f>Parameters!B49/Parameters!B7</f>
        <v>54166.6666666667</v>
      </c>
      <c r="J30" s="18">
        <f>Parameters!B49/Parameters!B7</f>
        <v>54166.6666666667</v>
      </c>
      <c r="K30" s="18">
        <f>Parameters!B49/Parameters!B7</f>
        <v>54166.6666666667</v>
      </c>
      <c r="L30" s="18">
        <f>Parameters!B49/Parameters!B7</f>
        <v>54166.6666666667</v>
      </c>
      <c r="M30" s="18">
        <f>Parameters!B49/Parameters!B7</f>
        <v>54166.6666666667</v>
      </c>
      <c r="N30" s="18">
        <f>Parameters!B49/Parameters!B7</f>
        <v>54166.6666666667</v>
      </c>
      <c r="O30" s="30"/>
    </row>
    <row r="31" spans="1:15">
      <c r="A31" s="14"/>
      <c r="B31" s="17" t="s">
        <v>115</v>
      </c>
      <c r="C31" s="18">
        <f>C16*Parameters!$B50</f>
        <v>7800</v>
      </c>
      <c r="D31" s="18">
        <f>D16*Parameters!$B50</f>
        <v>7800</v>
      </c>
      <c r="E31" s="18">
        <f>E16*Parameters!$B50</f>
        <v>8100</v>
      </c>
      <c r="F31" s="18">
        <f>F16*Parameters!$B50</f>
        <v>8400</v>
      </c>
      <c r="G31" s="18">
        <f>G16*Parameters!$B50</f>
        <v>8400</v>
      </c>
      <c r="H31" s="18">
        <f>H16*Parameters!$B50</f>
        <v>8700</v>
      </c>
      <c r="I31" s="18">
        <f>I16*Parameters!$B50</f>
        <v>8700</v>
      </c>
      <c r="J31" s="18">
        <f>J16*Parameters!$B50</f>
        <v>9000</v>
      </c>
      <c r="K31" s="18">
        <f>K16*Parameters!$B50</f>
        <v>9300</v>
      </c>
      <c r="L31" s="18">
        <f>L16*Parameters!$B50</f>
        <v>9300</v>
      </c>
      <c r="M31" s="18">
        <f>M16*Parameters!$B50</f>
        <v>9600</v>
      </c>
      <c r="N31" s="18">
        <f>N16*Parameters!$B50</f>
        <v>9600</v>
      </c>
      <c r="O31" s="30"/>
    </row>
    <row r="32" spans="1:15">
      <c r="A32" s="14"/>
      <c r="B32" s="17" t="s">
        <v>69</v>
      </c>
      <c r="C32" s="18">
        <f>Parameters!B59*Parameters!$B51</f>
        <v>1250</v>
      </c>
      <c r="D32" s="18">
        <f>Parameters!C59*Parameters!$B51</f>
        <v>1282.5</v>
      </c>
      <c r="E32" s="18">
        <f>Parameters!D59*Parameters!$B51</f>
        <v>1316.025</v>
      </c>
      <c r="F32" s="18">
        <f>Parameters!E59*Parameters!$B51</f>
        <v>1350.61425</v>
      </c>
      <c r="G32" s="18">
        <f>Parameters!F59*Parameters!$B51</f>
        <v>1386.3087225</v>
      </c>
      <c r="H32" s="18">
        <f>Parameters!G59*Parameters!$B51</f>
        <v>1414.03489695</v>
      </c>
      <c r="I32" s="18">
        <f>Parameters!H59*Parameters!$B51</f>
        <v>1442.315594889</v>
      </c>
      <c r="J32" s="18">
        <f>Parameters!I59*Parameters!$B51</f>
        <v>1471.16190678678</v>
      </c>
      <c r="K32" s="18">
        <f>Parameters!J59*Parameters!$B51</f>
        <v>1500.58514492252</v>
      </c>
      <c r="L32" s="18">
        <f>Parameters!K59*Parameters!$B51</f>
        <v>1530.59684782097</v>
      </c>
      <c r="M32" s="18">
        <f>Parameters!L59*Parameters!$B51</f>
        <v>1561.20878477739</v>
      </c>
      <c r="N32" s="18">
        <f>Parameters!M59*Parameters!$B51</f>
        <v>1592.43296047293</v>
      </c>
      <c r="O32" s="30"/>
    </row>
    <row r="33" spans="1:15">
      <c r="A33" s="14"/>
      <c r="B33" s="24" t="s">
        <v>71</v>
      </c>
      <c r="C33" s="18">
        <f>Parameters!B52</f>
        <v>250000</v>
      </c>
      <c r="D33" s="18">
        <v>0</v>
      </c>
      <c r="E33" s="18">
        <v>0</v>
      </c>
      <c r="F33" s="18">
        <f>Parameters!B53</f>
        <v>225000</v>
      </c>
      <c r="G33" s="18">
        <f>Parameters!B53</f>
        <v>225000</v>
      </c>
      <c r="H33" s="18">
        <f>Parameters!B53</f>
        <v>225000</v>
      </c>
      <c r="I33" s="18">
        <f>Parameters!B53</f>
        <v>225000</v>
      </c>
      <c r="J33" s="18">
        <f>Parameters!B53</f>
        <v>225000</v>
      </c>
      <c r="K33" s="18">
        <f>Parameters!B53</f>
        <v>225000</v>
      </c>
      <c r="L33" s="18">
        <f>Parameters!B53</f>
        <v>225000</v>
      </c>
      <c r="M33" s="18">
        <f>Parameters!B53</f>
        <v>225000</v>
      </c>
      <c r="N33" s="18">
        <f>Parameters!B53</f>
        <v>225000</v>
      </c>
      <c r="O33" s="30"/>
    </row>
    <row r="34" spans="1:15">
      <c r="A34" s="19" t="s">
        <v>116</v>
      </c>
      <c r="B34" s="19"/>
      <c r="C34" s="18">
        <f>SUM(C30:C33)</f>
        <v>313216.666666667</v>
      </c>
      <c r="D34" s="18">
        <f>SUM(D30:D33)</f>
        <v>63249.1666666667</v>
      </c>
      <c r="E34" s="18">
        <f t="shared" ref="E34:N34" si="6">SUM(E30:E33)</f>
        <v>63582.6916666667</v>
      </c>
      <c r="F34" s="18">
        <f t="shared" si="6"/>
        <v>288917.280916667</v>
      </c>
      <c r="G34" s="18">
        <f t="shared" si="6"/>
        <v>288952.975389167</v>
      </c>
      <c r="H34" s="18">
        <f t="shared" si="6"/>
        <v>289280.701563617</v>
      </c>
      <c r="I34" s="18">
        <f t="shared" si="6"/>
        <v>289308.982261556</v>
      </c>
      <c r="J34" s="18">
        <f t="shared" si="6"/>
        <v>289637.828573453</v>
      </c>
      <c r="K34" s="18">
        <f t="shared" si="6"/>
        <v>289967.251811589</v>
      </c>
      <c r="L34" s="18">
        <f t="shared" si="6"/>
        <v>289997.263514488</v>
      </c>
      <c r="M34" s="18">
        <f t="shared" si="6"/>
        <v>290327.875451444</v>
      </c>
      <c r="N34" s="18">
        <f t="shared" si="6"/>
        <v>290359.09962714</v>
      </c>
      <c r="O34" s="30"/>
    </row>
    <row r="35" spans="1:15">
      <c r="A35" s="19" t="s">
        <v>117</v>
      </c>
      <c r="B35" s="19"/>
      <c r="C35" s="18">
        <f>C29+C34</f>
        <v>512713.516666667</v>
      </c>
      <c r="D35" s="18">
        <f>D29+D34</f>
        <v>262746.016666667</v>
      </c>
      <c r="E35" s="18">
        <f t="shared" ref="E35:N35" si="7">E29+E34</f>
        <v>268432.141666667</v>
      </c>
      <c r="F35" s="18">
        <f t="shared" si="7"/>
        <v>501935.330916667</v>
      </c>
      <c r="G35" s="18">
        <f t="shared" si="7"/>
        <v>501971.025389167</v>
      </c>
      <c r="H35" s="18">
        <f t="shared" si="7"/>
        <v>510467.351563617</v>
      </c>
      <c r="I35" s="18">
        <f t="shared" si="7"/>
        <v>510495.632261556</v>
      </c>
      <c r="J35" s="18">
        <f t="shared" si="7"/>
        <v>516177.078573453</v>
      </c>
      <c r="K35" s="18">
        <f t="shared" si="7"/>
        <v>524675.101811589</v>
      </c>
      <c r="L35" s="18">
        <f t="shared" si="7"/>
        <v>524705.113514488</v>
      </c>
      <c r="M35" s="18">
        <f t="shared" si="7"/>
        <v>530388.325451444</v>
      </c>
      <c r="N35" s="18">
        <f t="shared" si="7"/>
        <v>533235.54962714</v>
      </c>
      <c r="O35" s="18">
        <f>SUM(C35:N35)</f>
        <v>5697942.18410912</v>
      </c>
    </row>
    <row r="36" s="4" customFormat="1" spans="1:15">
      <c r="A36" s="25" t="s">
        <v>118</v>
      </c>
      <c r="B36" s="26"/>
      <c r="C36" s="18">
        <f>C8-C35</f>
        <v>-200838.516666667</v>
      </c>
      <c r="D36" s="18">
        <f t="shared" ref="D36:N36" si="8">D8-D35</f>
        <v>56322.7333333333</v>
      </c>
      <c r="E36" s="18">
        <f t="shared" si="8"/>
        <v>58040.0458333333</v>
      </c>
      <c r="F36" s="18">
        <f t="shared" si="8"/>
        <v>-167842.534041667</v>
      </c>
      <c r="G36" s="18">
        <f t="shared" si="8"/>
        <v>-160032.648670417</v>
      </c>
      <c r="H36" s="18">
        <f t="shared" si="8"/>
        <v>-162050.207310492</v>
      </c>
      <c r="I36" s="18">
        <f t="shared" si="8"/>
        <v>-155470.145123368</v>
      </c>
      <c r="J36" s="18">
        <f t="shared" si="8"/>
        <v>-154411.081692502</v>
      </c>
      <c r="K36" s="18">
        <f t="shared" si="8"/>
        <v>-156033.784993018</v>
      </c>
      <c r="L36" s="18">
        <f t="shared" si="8"/>
        <v>-149050.970359547</v>
      </c>
      <c r="M36" s="18">
        <f t="shared" si="8"/>
        <v>-147581.099433403</v>
      </c>
      <c r="N36" s="18">
        <f t="shared" si="8"/>
        <v>-143132.179088739</v>
      </c>
      <c r="O36" s="18">
        <f>SUM(C36:N36)</f>
        <v>-1482080.38821315</v>
      </c>
    </row>
    <row r="37" spans="1:15">
      <c r="A37" s="24"/>
      <c r="B37" s="27" t="s">
        <v>119</v>
      </c>
      <c r="C37" s="28">
        <f>C36/C35</f>
        <v>-0.391716836280014</v>
      </c>
      <c r="D37" s="28">
        <f t="shared" ref="D37:O37" si="9">D36/D35</f>
        <v>0.214361892324279</v>
      </c>
      <c r="E37" s="28">
        <f t="shared" si="9"/>
        <v>0.216218689285749</v>
      </c>
      <c r="F37" s="28">
        <f t="shared" si="9"/>
        <v>-0.334390754552268</v>
      </c>
      <c r="G37" s="28">
        <f t="shared" si="9"/>
        <v>-0.318808537895882</v>
      </c>
      <c r="H37" s="28">
        <f t="shared" si="9"/>
        <v>-0.317454596878947</v>
      </c>
      <c r="I37" s="28">
        <f t="shared" si="9"/>
        <v>-0.304547454078337</v>
      </c>
      <c r="J37" s="28">
        <f t="shared" si="9"/>
        <v>-0.299143623578259</v>
      </c>
      <c r="K37" s="28">
        <f t="shared" si="9"/>
        <v>-0.297391251184338</v>
      </c>
      <c r="L37" s="28">
        <f t="shared" si="9"/>
        <v>-0.28406616692031</v>
      </c>
      <c r="M37" s="28">
        <f t="shared" si="9"/>
        <v>-0.27825103297247</v>
      </c>
      <c r="N37" s="28">
        <f t="shared" si="9"/>
        <v>-0.268422049484178</v>
      </c>
      <c r="O37" s="28">
        <f t="shared" si="9"/>
        <v>-0.260108007474435</v>
      </c>
    </row>
  </sheetData>
  <mergeCells count="12">
    <mergeCell ref="A1:O1"/>
    <mergeCell ref="A2:O2"/>
    <mergeCell ref="A8:B8"/>
    <mergeCell ref="A29:B29"/>
    <mergeCell ref="A34:B34"/>
    <mergeCell ref="A35:B35"/>
    <mergeCell ref="A36:B36"/>
    <mergeCell ref="A4:A7"/>
    <mergeCell ref="A9:A18"/>
    <mergeCell ref="A19:A23"/>
    <mergeCell ref="A24:A28"/>
    <mergeCell ref="A30:A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Assumptions</vt:lpstr>
      <vt:lpstr>Parameters</vt:lpstr>
      <vt:lpstr>Baseline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5971427637236</cp:lastModifiedBy>
  <dcterms:created xsi:type="dcterms:W3CDTF">2020-03-01T23:19:00Z</dcterms:created>
  <dcterms:modified xsi:type="dcterms:W3CDTF">2020-03-04T07:35:38Z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